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ren/Desktop/WANDERLUST NEW FOLDER/"/>
    </mc:Choice>
  </mc:AlternateContent>
  <xr:revisionPtr revIDLastSave="0" documentId="13_ncr:1_{D0495D88-C75D-1847-9E18-0FDE8B0FCE03}" xr6:coauthVersionLast="47" xr6:coauthVersionMax="47" xr10:uidLastSave="{00000000-0000-0000-0000-000000000000}"/>
  <bookViews>
    <workbookView xWindow="1660" yWindow="500" windowWidth="25380" windowHeight="15800" xr2:uid="{4C440301-5AC6-8A44-A0CD-BB0B4458D146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S57" i="1"/>
  <c r="T57" i="1" s="1"/>
  <c r="P57" i="1"/>
  <c r="M57" i="1"/>
  <c r="J57" i="1"/>
  <c r="G57" i="1"/>
  <c r="D57" i="1"/>
  <c r="G12" i="1"/>
  <c r="D12" i="1"/>
  <c r="J12" i="1"/>
  <c r="M10" i="1"/>
  <c r="P11" i="1"/>
  <c r="O47" i="1"/>
  <c r="I46" i="1"/>
  <c r="I49" i="1" s="1"/>
  <c r="F46" i="1"/>
  <c r="F49" i="1" s="1"/>
  <c r="C46" i="1"/>
  <c r="C49" i="1" s="1"/>
  <c r="R45" i="1"/>
  <c r="R48" i="1" s="1"/>
  <c r="L43" i="1"/>
  <c r="L44" i="1" s="1"/>
  <c r="O40" i="1"/>
  <c r="I40" i="1"/>
  <c r="F40" i="1"/>
  <c r="C40" i="1"/>
  <c r="I39" i="1"/>
  <c r="F39" i="1"/>
  <c r="C39" i="1"/>
  <c r="R38" i="1"/>
  <c r="L37" i="1"/>
  <c r="I37" i="1"/>
  <c r="F37" i="1"/>
  <c r="C37" i="1"/>
  <c r="R36" i="1"/>
  <c r="R35" i="1"/>
  <c r="I35" i="1"/>
  <c r="I42" i="1" s="1"/>
  <c r="F35" i="1"/>
  <c r="F42" i="1" s="1"/>
  <c r="C35" i="1"/>
  <c r="R33" i="1"/>
  <c r="I33" i="1"/>
  <c r="F33" i="1"/>
  <c r="C33" i="1"/>
  <c r="O32" i="1"/>
  <c r="L30" i="1"/>
  <c r="C29" i="1"/>
  <c r="O28" i="1"/>
  <c r="R27" i="1"/>
  <c r="R29" i="1" s="1"/>
  <c r="I27" i="1"/>
  <c r="I29" i="1" s="1"/>
  <c r="F27" i="1"/>
  <c r="F29" i="1" s="1"/>
  <c r="C27" i="1"/>
  <c r="L26" i="1"/>
  <c r="R23" i="1"/>
  <c r="I23" i="1"/>
  <c r="F23" i="1"/>
  <c r="C23" i="1"/>
  <c r="O22" i="1"/>
  <c r="L21" i="1"/>
  <c r="L20" i="1"/>
  <c r="I18" i="1"/>
  <c r="I19" i="1" s="1"/>
  <c r="O17" i="1"/>
  <c r="O18" i="1" s="1"/>
  <c r="R16" i="1"/>
  <c r="R22" i="1" s="1"/>
  <c r="L16" i="1"/>
  <c r="L17" i="1" s="1"/>
  <c r="I16" i="1"/>
  <c r="I22" i="1" s="1"/>
  <c r="F16" i="1"/>
  <c r="C16" i="1"/>
  <c r="C18" i="1" s="1"/>
  <c r="C19" i="1" s="1"/>
  <c r="R12" i="1"/>
  <c r="R13" i="1" s="1"/>
  <c r="I12" i="1"/>
  <c r="I13" i="1" s="1"/>
  <c r="C12" i="1"/>
  <c r="C13" i="1" s="1"/>
  <c r="C20" i="1" s="1"/>
  <c r="L10" i="1"/>
  <c r="L11" i="1" s="1"/>
  <c r="L18" i="1" s="1"/>
  <c r="F9" i="1"/>
  <c r="O8" i="1"/>
  <c r="O21" i="1" s="1"/>
  <c r="F8" i="1"/>
  <c r="F12" i="1" s="1"/>
  <c r="F13" i="1" s="1"/>
  <c r="C42" i="1" l="1"/>
  <c r="I50" i="1"/>
  <c r="R41" i="1"/>
  <c r="R49" i="1" s="1"/>
  <c r="C22" i="1"/>
  <c r="F22" i="1"/>
  <c r="O11" i="1"/>
  <c r="O12" i="1" s="1"/>
  <c r="O19" i="1" s="1"/>
  <c r="O49" i="1" s="1"/>
  <c r="O53" i="1" s="1"/>
  <c r="O48" i="1"/>
  <c r="C51" i="1"/>
  <c r="C55" i="1" s="1"/>
  <c r="L45" i="1"/>
  <c r="L46" i="1" s="1"/>
  <c r="L51" i="1" s="1"/>
  <c r="F50" i="1"/>
  <c r="I20" i="1"/>
  <c r="I51" i="1" s="1"/>
  <c r="I55" i="1" s="1"/>
  <c r="C50" i="1"/>
  <c r="R18" i="1"/>
  <c r="R19" i="1" s="1"/>
  <c r="R20" i="1" s="1"/>
  <c r="F18" i="1"/>
  <c r="F19" i="1" s="1"/>
  <c r="F20" i="1" s="1"/>
  <c r="F51" i="1" s="1"/>
  <c r="F55" i="1" s="1"/>
  <c r="R50" i="1" l="1"/>
  <c r="R54" i="1" s="1"/>
</calcChain>
</file>

<file path=xl/sharedStrings.xml><?xml version="1.0" encoding="utf-8"?>
<sst xmlns="http://schemas.openxmlformats.org/spreadsheetml/2006/main" count="307" uniqueCount="60">
  <si>
    <t>WANDER RETREATS</t>
  </si>
  <si>
    <t>Profit &amp; Loss</t>
  </si>
  <si>
    <t>Jan 24</t>
  </si>
  <si>
    <t>Feb 24</t>
  </si>
  <si>
    <t>Mar 24</t>
  </si>
  <si>
    <t>Oct 23</t>
  </si>
  <si>
    <t>Nov 23</t>
  </si>
  <si>
    <t>Dec 23</t>
  </si>
  <si>
    <t>Income</t>
  </si>
  <si>
    <t>FOODINC · FOOD &amp;BEVERAGE REVENUE</t>
  </si>
  <si>
    <t>301000 · TIPI REVENUE</t>
  </si>
  <si>
    <t>301000 · TIP REVENUE</t>
  </si>
  <si>
    <t>301000 · EVENT REVENUE</t>
  </si>
  <si>
    <t>301001 · FOOD REVENUE</t>
  </si>
  <si>
    <t>301003 · ALC BEVERAGE REVENUE</t>
  </si>
  <si>
    <t>Total FOODINC · FOOD &amp;BEVERAGE REVENUE</t>
  </si>
  <si>
    <t>301004 · OTHER REVENUE</t>
  </si>
  <si>
    <t>Total Income</t>
  </si>
  <si>
    <t>Cost of Goods Sold</t>
  </si>
  <si>
    <t>COGS · COST OF SALES</t>
  </si>
  <si>
    <t>400001 · COST OF FOOD</t>
  </si>
  <si>
    <t>400001 · COST OF BEVERAGE</t>
  </si>
  <si>
    <t>Total COGS · COST OF SALES</t>
  </si>
  <si>
    <t>Total COGS</t>
  </si>
  <si>
    <t>Gross Profit</t>
  </si>
  <si>
    <t>COST PERCENTAGE</t>
  </si>
  <si>
    <t xml:space="preserve">FOOD  </t>
  </si>
  <si>
    <t>BEVERAGE</t>
  </si>
  <si>
    <t>Expense</t>
  </si>
  <si>
    <t>OVERHEAD AND OTHER DEPT EXPENSE</t>
  </si>
  <si>
    <t>603013 · GENERAL ITEMS</t>
  </si>
  <si>
    <t>603902 · ENERGY &amp; GAS</t>
  </si>
  <si>
    <t>603002 · VENUE RENTAL</t>
  </si>
  <si>
    <t>Total OVERHEAD AND OTHER DEPT EXPENSE</t>
  </si>
  <si>
    <t>FOOD · FOOD &amp;BEVERAGE EXPENSES</t>
  </si>
  <si>
    <t>601004 - KITCHEN FUEL</t>
  </si>
  <si>
    <t>601005 · F&amp;B LAUNDRY &amp; DRY CLEANING</t>
  </si>
  <si>
    <t>Total FOOD · FOOD &amp;BEVERAGE EXPENSES</t>
  </si>
  <si>
    <t>GEN · GENERAL EXPENSES</t>
  </si>
  <si>
    <t>605005 · UTILITIES</t>
  </si>
  <si>
    <t>605016 · DIESEL</t>
  </si>
  <si>
    <t>605026 · FUEL</t>
  </si>
  <si>
    <t>605026 · OTHER EXPENSES</t>
  </si>
  <si>
    <t>605005 · TELEPHONE</t>
  </si>
  <si>
    <t>605039 · POOL MAINT</t>
  </si>
  <si>
    <t>Total GEN · GENERAL EXPENSES</t>
  </si>
  <si>
    <t>PAYROLL · PAYROLL AND BENEFITS</t>
  </si>
  <si>
    <t xml:space="preserve">TRANSPORT EXPENSES </t>
  </si>
  <si>
    <t>500001 · BASIC SALARY</t>
  </si>
  <si>
    <t>500001 · STAFF ACCOMMODATION</t>
  </si>
  <si>
    <t>500001 · STAFF FOOD</t>
  </si>
  <si>
    <t>500001 · OLIVER PM</t>
  </si>
  <si>
    <t>500002 · BUYOUT LABOR AND THEIR EXPS</t>
  </si>
  <si>
    <t>Total PAYROLL · PAYROLL AND BENEFITS</t>
  </si>
  <si>
    <t>TOTAL EXPENSES</t>
  </si>
  <si>
    <t>Profit Before Shareholders PMT</t>
  </si>
  <si>
    <t>700001 · SHAREHOLDERS DIVEDENT</t>
  </si>
  <si>
    <t>NET PROFIT</t>
  </si>
  <si>
    <t xml:space="preserve"> 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</si>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</sst>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Eurostile-Reg"/>
      <family val="2"/>
    </font>
    <font>
      <sz val="12"/>
      <color theme="1"/>
      <name val="Eurostile-Reg"/>
      <family val="2"/>
    </font>
    <font>
      <b/>
      <sz val="14"/>
      <color rgb="FF000000"/>
      <name val="Arial"/>
      <family val="2"/>
    </font>
    <font>
      <sz val="14"/>
      <color theme="1"/>
      <name val="Eurostile-Reg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49" fontId="4" fillId="0" borderId="1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5" fillId="0" borderId="3" xfId="0" applyNumberFormat="1" applyFont="1" applyBorder="1"/>
    <xf numFmtId="39" fontId="6" fillId="0" borderId="5" xfId="0" applyNumberFormat="1" applyFont="1" applyBorder="1"/>
    <xf numFmtId="49" fontId="6" fillId="0" borderId="3" xfId="0" applyNumberFormat="1" applyFont="1" applyBorder="1"/>
    <xf numFmtId="49" fontId="5" fillId="0" borderId="4" xfId="0" applyNumberFormat="1" applyFont="1" applyBorder="1"/>
    <xf numFmtId="39" fontId="6" fillId="0" borderId="4" xfId="0" applyNumberFormat="1" applyFont="1" applyBorder="1"/>
    <xf numFmtId="39" fontId="5" fillId="0" borderId="6" xfId="0" applyNumberFormat="1" applyFont="1" applyBorder="1"/>
    <xf numFmtId="39" fontId="5" fillId="0" borderId="4" xfId="0" applyNumberFormat="1" applyFont="1" applyBorder="1"/>
    <xf numFmtId="39" fontId="5" fillId="0" borderId="5" xfId="0" applyNumberFormat="1" applyFont="1" applyBorder="1"/>
    <xf numFmtId="10" fontId="5" fillId="0" borderId="5" xfId="1" applyNumberFormat="1" applyFont="1" applyBorder="1"/>
    <xf numFmtId="39" fontId="6" fillId="0" borderId="7" xfId="0" applyNumberFormat="1" applyFont="1" applyBorder="1"/>
    <xf numFmtId="0" fontId="0" fillId="0" borderId="5" xfId="0" applyBorder="1"/>
    <xf numFmtId="49" fontId="6" fillId="0" borderId="1" xfId="0" applyNumberFormat="1" applyFont="1" applyBorder="1"/>
    <xf numFmtId="39" fontId="6" fillId="0" borderId="6" xfId="0" applyNumberFormat="1" applyFont="1" applyBorder="1"/>
    <xf numFmtId="49" fontId="5" fillId="0" borderId="0" xfId="0" applyNumberFormat="1" applyFont="1"/>
    <xf numFmtId="0" fontId="6" fillId="0" borderId="0" xfId="0" applyFont="1"/>
    <xf numFmtId="49" fontId="5" fillId="0" borderId="6" xfId="0" applyNumberFormat="1" applyFont="1" applyBorder="1"/>
    <xf numFmtId="0" fontId="5" fillId="0" borderId="1" xfId="0" applyFont="1" applyBorder="1"/>
    <xf numFmtId="0" fontId="6" fillId="0" borderId="8" xfId="0" applyFont="1" applyBorder="1"/>
    <xf numFmtId="0" fontId="0" fillId="0" borderId="9" xfId="0" applyBorder="1"/>
    <xf numFmtId="49" fontId="6" fillId="0" borderId="8" xfId="0" applyNumberFormat="1" applyFont="1" applyBorder="1"/>
    <xf numFmtId="39" fontId="6" fillId="0" borderId="2" xfId="0" applyNumberFormat="1" applyFont="1" applyBorder="1"/>
    <xf numFmtId="39" fontId="6" fillId="0" borderId="9" xfId="0" applyNumberFormat="1" applyFont="1" applyBorder="1"/>
    <xf numFmtId="0" fontId="5" fillId="0" borderId="10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39" fontId="0" fillId="0" borderId="0" xfId="0" applyNumberForma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914400</xdr:colOff>
      <xdr:row>4</xdr:row>
      <xdr:rowOff>38100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28917F7-2B23-4B49-9C8D-FB122E94A3BC}"/>
            </a:ext>
          </a:extLst>
        </xdr:cNvPr>
        <xdr:cNvSpPr/>
      </xdr:nvSpPr>
      <xdr:spPr bwMode="auto">
        <a:xfrm>
          <a:off x="279400" y="457200"/>
          <a:ext cx="914400" cy="241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914400</xdr:colOff>
      <xdr:row>4</xdr:row>
      <xdr:rowOff>38100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222840-A174-114B-A23D-220FD5476A63}"/>
            </a:ext>
          </a:extLst>
        </xdr:cNvPr>
        <xdr:cNvSpPr/>
      </xdr:nvSpPr>
      <xdr:spPr bwMode="auto">
        <a:xfrm>
          <a:off x="279400" y="457200"/>
          <a:ext cx="914400" cy="241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914400</xdr:colOff>
      <xdr:row>4</xdr:row>
      <xdr:rowOff>25400</xdr:rowOff>
    </xdr:to>
    <xdr:sp macro="" textlink="">
      <xdr:nvSpPr>
        <xdr:cNvPr id="4" name="FILTER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DD93CFAD-99B7-FB47-B32F-7C0193C0E96D}"/>
            </a:ext>
          </a:extLst>
        </xdr:cNvPr>
        <xdr:cNvSpPr/>
      </xdr:nvSpPr>
      <xdr:spPr bwMode="auto">
        <a:xfrm>
          <a:off x="4216400" y="457200"/>
          <a:ext cx="91440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914400</xdr:colOff>
      <xdr:row>4</xdr:row>
      <xdr:rowOff>25400</xdr:rowOff>
    </xdr:to>
    <xdr:sp macro="" textlink="">
      <xdr:nvSpPr>
        <xdr:cNvPr id="5" name="HEADER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72AFAAC6-3600-3440-B6BA-1E61EF2FE38C}"/>
            </a:ext>
          </a:extLst>
        </xdr:cNvPr>
        <xdr:cNvSpPr/>
      </xdr:nvSpPr>
      <xdr:spPr bwMode="auto">
        <a:xfrm>
          <a:off x="4216400" y="457200"/>
          <a:ext cx="91440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914400</xdr:colOff>
      <xdr:row>4</xdr:row>
      <xdr:rowOff>25400</xdr:rowOff>
    </xdr:to>
    <xdr:pic>
      <xdr:nvPicPr>
        <xdr:cNvPr id="6" name="FILTER" hidden="1">
          <a:extLst>
            <a:ext uri="{FF2B5EF4-FFF2-40B4-BE49-F238E27FC236}">
              <a16:creationId xmlns:a16="http://schemas.microsoft.com/office/drawing/2014/main" id="{B501F988-28D4-3148-9ECA-9689E7BB09C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457200"/>
          <a:ext cx="91440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914400</xdr:colOff>
      <xdr:row>4</xdr:row>
      <xdr:rowOff>25400</xdr:rowOff>
    </xdr:to>
    <xdr:pic>
      <xdr:nvPicPr>
        <xdr:cNvPr id="7" name="HEADER" hidden="1">
          <a:extLst>
            <a:ext uri="{FF2B5EF4-FFF2-40B4-BE49-F238E27FC236}">
              <a16:creationId xmlns:a16="http://schemas.microsoft.com/office/drawing/2014/main" id="{E04D8013-809B-E74A-9542-00494EEA44D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457200"/>
          <a:ext cx="91440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914400</xdr:colOff>
      <xdr:row>4</xdr:row>
      <xdr:rowOff>25400</xdr:rowOff>
    </xdr:to>
    <xdr:pic>
      <xdr:nvPicPr>
        <xdr:cNvPr id="8" name="Picture 3" hidden="1">
          <a:extLst>
            <a:ext uri="{FF2B5EF4-FFF2-40B4-BE49-F238E27FC236}">
              <a16:creationId xmlns:a16="http://schemas.microsoft.com/office/drawing/2014/main" id="{B23E5F00-B73E-6A49-B30F-B42D2109E39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6400" y="457200"/>
          <a:ext cx="91440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914400</xdr:colOff>
      <xdr:row>4</xdr:row>
      <xdr:rowOff>25400</xdr:rowOff>
    </xdr:to>
    <xdr:pic>
      <xdr:nvPicPr>
        <xdr:cNvPr id="9" name="Picture 4" hidden="1">
          <a:extLst>
            <a:ext uri="{FF2B5EF4-FFF2-40B4-BE49-F238E27FC236}">
              <a16:creationId xmlns:a16="http://schemas.microsoft.com/office/drawing/2014/main" id="{D6A9F3C9-7F14-DE45-81F5-1C35EA53462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6400" y="457200"/>
          <a:ext cx="91440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vren/Desktop/WANDER%20-%20SEASON%20-%202/P&amp;Ls/01%20P&amp;L%20Jan%202024.xlsx" TargetMode="External"/><Relationship Id="rId1" Type="http://schemas.openxmlformats.org/officeDocument/2006/relationships/externalLinkPath" Target="/Users/vren/Desktop/WANDER%20SEASON%202&amp;3/WANDER%20-%20SEASON%20-%202/P&amp;Ls/01%20P&amp;L%20J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vren/Desktop/WANDER%20-%20SEASON%20-%202/P&amp;Ls/02%20P&amp;L%20Feb%202024.xlsx" TargetMode="External"/><Relationship Id="rId1" Type="http://schemas.openxmlformats.org/officeDocument/2006/relationships/externalLinkPath" Target="/Users/vren/Desktop/WANDER%20SEASON%202&amp;3/WANDER%20-%20SEASON%20-%202/P&amp;Ls/02%20P&amp;L%20Feb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vren/Desktop/WANDER%20-%20SEASON%20-%202/P&amp;Ls/03%20P&amp;L%20Mar%202024.xlsx" TargetMode="External"/><Relationship Id="rId1" Type="http://schemas.openxmlformats.org/officeDocument/2006/relationships/externalLinkPath" Target="/Users/vren/Desktop/WANDER%20SEASON%202&amp;3/WANDER%20-%20SEASON%20-%202/P&amp;Ls/03%20P&amp;L%20Mar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vren/Desktop/WANDER%20-%20SEASON%20-%202/P&amp;Ls/12%20P&amp;L%20Dec%202023.xlsx" TargetMode="External"/><Relationship Id="rId1" Type="http://schemas.openxmlformats.org/officeDocument/2006/relationships/externalLinkPath" Target="/Users/vren/Desktop/WANDER%20SEASON%202&amp;3/WANDER%20-%20SEASON%20-%202/P&amp;Ls/12%20P&amp;L%20Dec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ickBooks Desktop Export Tips"/>
      <sheetName val="Sheet1"/>
      <sheetName val="P&amp;L Jan 2024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ickBooks Desktop Export Tips"/>
      <sheetName val="Sheet1"/>
      <sheetName val="P&amp;L Feb 2024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ickBooks Desktop Export Tips"/>
      <sheetName val="Sheet1"/>
      <sheetName val="P&amp;L Mar 2024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ickBooks Desktop Export Tips"/>
      <sheetName val="Sheet1"/>
      <sheetName val="P&amp;L Dec 2023"/>
      <sheetName val="Sheet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243BB-A435-9A40-9AA8-C9F4AF972655}">
  <dimension ref="B2:W57"/>
  <sheetViews>
    <sheetView tabSelected="1" topLeftCell="E1" zoomScale="97" zoomScaleNormal="97" workbookViewId="0">
      <selection activeCell="G1" sqref="G1"/>
    </sheetView>
  </sheetViews>
  <sheetFormatPr baseColWidth="10" defaultRowHeight="16"/>
  <cols>
    <col min="1" max="1" width="4.7109375" customWidth="1"/>
    <col min="2" max="2" width="27.85546875" customWidth="1"/>
    <col min="5" max="5" width="30.5703125" customWidth="1"/>
    <col min="8" max="8" width="35.7109375" customWidth="1"/>
    <col min="11" max="11" width="25.85546875" customWidth="1"/>
    <col min="14" max="14" width="27.5703125" customWidth="1"/>
    <col min="17" max="17" width="29.140625" customWidth="1"/>
    <col min="18" max="18" width="28.85546875" customWidth="1"/>
  </cols>
  <sheetData>
    <row r="2" spans="2:19" ht="17" thickBot="1"/>
    <row r="3" spans="2:19" ht="19" thickBot="1">
      <c r="B3" s="29" t="s">
        <v>0</v>
      </c>
      <c r="C3" s="30"/>
      <c r="D3" s="3"/>
      <c r="E3" s="29" t="s">
        <v>0</v>
      </c>
      <c r="F3" s="30"/>
      <c r="G3" s="3"/>
      <c r="H3" s="1" t="s">
        <v>0</v>
      </c>
      <c r="I3" s="2"/>
      <c r="K3" s="29" t="s">
        <v>0</v>
      </c>
      <c r="L3" s="30"/>
      <c r="N3" s="31" t="s">
        <v>0</v>
      </c>
      <c r="O3" s="32"/>
      <c r="Q3" s="29" t="s">
        <v>0</v>
      </c>
      <c r="R3" s="30"/>
    </row>
    <row r="4" spans="2:19" ht="17" thickBot="1">
      <c r="B4" s="4" t="s">
        <v>1</v>
      </c>
      <c r="C4" s="5" t="s">
        <v>2</v>
      </c>
      <c r="E4" s="4" t="s">
        <v>1</v>
      </c>
      <c r="F4" s="5" t="s">
        <v>3</v>
      </c>
      <c r="H4" s="4" t="s">
        <v>1</v>
      </c>
      <c r="I4" s="5" t="s">
        <v>4</v>
      </c>
      <c r="K4" s="4" t="s">
        <v>1</v>
      </c>
      <c r="L4" s="5" t="s">
        <v>5</v>
      </c>
      <c r="N4" s="4" t="s">
        <v>1</v>
      </c>
      <c r="O4" s="5" t="s">
        <v>6</v>
      </c>
      <c r="Q4" s="4" t="s">
        <v>1</v>
      </c>
      <c r="R4" s="5" t="s">
        <v>7</v>
      </c>
    </row>
    <row r="5" spans="2:19">
      <c r="B5" s="6" t="s">
        <v>8</v>
      </c>
      <c r="C5" s="7"/>
      <c r="E5" s="6" t="s">
        <v>8</v>
      </c>
      <c r="F5" s="7"/>
      <c r="H5" s="6" t="s">
        <v>8</v>
      </c>
      <c r="I5" s="7"/>
      <c r="K5" s="6" t="s">
        <v>8</v>
      </c>
      <c r="L5" s="7"/>
      <c r="N5" s="6" t="s">
        <v>8</v>
      </c>
      <c r="O5" s="7"/>
      <c r="Q5" s="6" t="s">
        <v>8</v>
      </c>
      <c r="R5" s="7"/>
    </row>
    <row r="6" spans="2:19">
      <c r="B6" s="6" t="s">
        <v>9</v>
      </c>
      <c r="C6" s="7"/>
      <c r="E6" s="6" t="s">
        <v>9</v>
      </c>
      <c r="F6" s="7"/>
      <c r="H6" s="6" t="s">
        <v>9</v>
      </c>
      <c r="I6" s="7"/>
      <c r="K6" s="6" t="s">
        <v>9</v>
      </c>
      <c r="L6" s="7"/>
      <c r="N6" s="6" t="s">
        <v>9</v>
      </c>
      <c r="O6" s="7"/>
      <c r="P6" t="s">
        <v>58</v>
      </c>
      <c r="Q6" s="6" t="s">
        <v>9</v>
      </c>
      <c r="R6" s="7"/>
    </row>
    <row r="7" spans="2:19">
      <c r="B7" s="8" t="s">
        <v>10</v>
      </c>
      <c r="C7" s="7">
        <v>35750</v>
      </c>
      <c r="E7" s="8" t="s">
        <v>10</v>
      </c>
      <c r="F7" s="7">
        <v>17346</v>
      </c>
      <c r="H7" s="8" t="s">
        <v>10</v>
      </c>
      <c r="I7" s="7">
        <v>38100</v>
      </c>
      <c r="K7" s="8" t="s">
        <v>11</v>
      </c>
      <c r="L7" s="7">
        <v>6180</v>
      </c>
      <c r="N7" s="8" t="s">
        <v>10</v>
      </c>
      <c r="O7" s="7">
        <v>5050</v>
      </c>
      <c r="Q7" s="8" t="s">
        <v>10</v>
      </c>
      <c r="R7" s="7">
        <v>40162.5</v>
      </c>
    </row>
    <row r="8" spans="2:19">
      <c r="B8" s="8" t="s">
        <v>12</v>
      </c>
      <c r="C8" s="7">
        <v>120</v>
      </c>
      <c r="E8" s="8" t="s">
        <v>12</v>
      </c>
      <c r="F8" s="7">
        <f>11900+120</f>
        <v>12020</v>
      </c>
      <c r="H8" s="8" t="s">
        <v>12</v>
      </c>
      <c r="I8" s="7">
        <v>21240</v>
      </c>
      <c r="K8" s="8" t="s">
        <v>13</v>
      </c>
      <c r="L8" s="7">
        <v>5282.5</v>
      </c>
      <c r="N8" s="8" t="s">
        <v>13</v>
      </c>
      <c r="O8" s="7">
        <f>59632.63+21000</f>
        <v>80632.63</v>
      </c>
      <c r="Q8" s="8" t="s">
        <v>12</v>
      </c>
      <c r="R8" s="7">
        <v>67425</v>
      </c>
    </row>
    <row r="9" spans="2:19" ht="17" thickBot="1">
      <c r="B9" s="8" t="s">
        <v>13</v>
      </c>
      <c r="C9" s="7">
        <v>24510</v>
      </c>
      <c r="E9" s="8" t="s">
        <v>13</v>
      </c>
      <c r="F9" s="7">
        <f>77144.2+45374</f>
        <v>122518.2</v>
      </c>
      <c r="H9" s="8" t="s">
        <v>13</v>
      </c>
      <c r="I9" s="7">
        <v>39797</v>
      </c>
      <c r="K9" s="8" t="s">
        <v>14</v>
      </c>
      <c r="L9" s="7">
        <v>2741.5</v>
      </c>
      <c r="N9" s="8" t="s">
        <v>14</v>
      </c>
      <c r="O9" s="7">
        <v>15576.7</v>
      </c>
      <c r="Q9" s="8" t="s">
        <v>13</v>
      </c>
      <c r="R9" s="7">
        <v>35360.5</v>
      </c>
    </row>
    <row r="10" spans="2:19" ht="17" thickBot="1">
      <c r="B10" s="8" t="s">
        <v>14</v>
      </c>
      <c r="C10" s="7">
        <v>5025</v>
      </c>
      <c r="E10" s="8" t="s">
        <v>14</v>
      </c>
      <c r="F10" s="7">
        <v>3200</v>
      </c>
      <c r="H10" s="8" t="s">
        <v>14</v>
      </c>
      <c r="I10" s="7">
        <v>2210</v>
      </c>
      <c r="K10" s="9" t="s">
        <v>15</v>
      </c>
      <c r="L10" s="10">
        <f>ROUND(SUM(L6:L9),5)</f>
        <v>14204</v>
      </c>
      <c r="M10" s="33">
        <f>L10</f>
        <v>14204</v>
      </c>
      <c r="N10" s="8" t="s">
        <v>16</v>
      </c>
      <c r="O10" s="7">
        <v>22495</v>
      </c>
      <c r="Q10" s="8" t="s">
        <v>14</v>
      </c>
      <c r="R10" s="7">
        <v>13552</v>
      </c>
    </row>
    <row r="11" spans="2:19" ht="17" thickBot="1">
      <c r="B11" s="8" t="s">
        <v>16</v>
      </c>
      <c r="C11" s="7">
        <v>13625.02</v>
      </c>
      <c r="E11" s="8" t="s">
        <v>16</v>
      </c>
      <c r="F11" s="7">
        <v>986</v>
      </c>
      <c r="H11" s="8" t="s">
        <v>16</v>
      </c>
      <c r="I11" s="7">
        <v>1450</v>
      </c>
      <c r="K11" s="6" t="s">
        <v>17</v>
      </c>
      <c r="L11" s="7">
        <f>ROUND(L5+L10,5)</f>
        <v>14204</v>
      </c>
      <c r="N11" s="6" t="s">
        <v>15</v>
      </c>
      <c r="O11" s="10">
        <f t="shared" ref="O11" si="0">ROUND(SUM(O6:O10),5)</f>
        <v>123754.33</v>
      </c>
      <c r="P11" s="33">
        <f>O11</f>
        <v>123754.33</v>
      </c>
      <c r="Q11" s="8" t="s">
        <v>16</v>
      </c>
      <c r="R11" s="7">
        <v>19135.580000000002</v>
      </c>
    </row>
    <row r="12" spans="2:19" ht="17" thickBot="1">
      <c r="B12" s="9" t="s">
        <v>15</v>
      </c>
      <c r="C12" s="10">
        <f>ROUND(SUM(C6:C11),5)</f>
        <v>79030.02</v>
      </c>
      <c r="D12" s="33">
        <f>C12</f>
        <v>79030.02</v>
      </c>
      <c r="E12" s="9" t="s">
        <v>15</v>
      </c>
      <c r="F12" s="10">
        <f>ROUND(SUM(F6:F11),5)</f>
        <v>156070.20000000001</v>
      </c>
      <c r="G12" s="33">
        <f>F12</f>
        <v>156070.20000000001</v>
      </c>
      <c r="H12" s="9" t="s">
        <v>15</v>
      </c>
      <c r="I12" s="10">
        <f>ROUND(SUM(I6:I11),5)</f>
        <v>102797</v>
      </c>
      <c r="J12" s="33">
        <f>I12</f>
        <v>102797</v>
      </c>
      <c r="K12" s="6" t="s">
        <v>18</v>
      </c>
      <c r="L12" s="7"/>
      <c r="N12" s="6" t="s">
        <v>17</v>
      </c>
      <c r="O12" s="7">
        <f t="shared" ref="O12" si="1">ROUND(O5+O11,5)</f>
        <v>123754.33</v>
      </c>
      <c r="Q12" s="9" t="s">
        <v>15</v>
      </c>
      <c r="R12" s="10">
        <f t="shared" ref="R12" si="2">ROUND(SUM(R6:R11),5)</f>
        <v>175635.58</v>
      </c>
      <c r="S12" s="33">
        <f>R12</f>
        <v>175635.58</v>
      </c>
    </row>
    <row r="13" spans="2:19">
      <c r="B13" s="6" t="s">
        <v>17</v>
      </c>
      <c r="C13" s="7">
        <f>ROUND(C5+C12,5)</f>
        <v>79030.02</v>
      </c>
      <c r="E13" s="6" t="s">
        <v>17</v>
      </c>
      <c r="F13" s="7">
        <f>ROUND(F5+F12,5)</f>
        <v>156070.20000000001</v>
      </c>
      <c r="H13" s="6" t="s">
        <v>17</v>
      </c>
      <c r="I13" s="7">
        <f>ROUND(I5+I12,5)</f>
        <v>102797</v>
      </c>
      <c r="K13" s="8" t="s">
        <v>19</v>
      </c>
      <c r="L13" s="7"/>
      <c r="N13" s="6" t="s">
        <v>18</v>
      </c>
      <c r="O13" s="7"/>
      <c r="Q13" s="6" t="s">
        <v>17</v>
      </c>
      <c r="R13" s="7">
        <f t="shared" ref="R13" si="3">ROUND(R5+R12,5)</f>
        <v>175635.58</v>
      </c>
    </row>
    <row r="14" spans="2:19">
      <c r="B14" s="6" t="s">
        <v>18</v>
      </c>
      <c r="C14" s="7"/>
      <c r="E14" s="6" t="s">
        <v>18</v>
      </c>
      <c r="F14" s="7"/>
      <c r="H14" s="6" t="s">
        <v>18</v>
      </c>
      <c r="I14" s="7"/>
      <c r="K14" s="8" t="s">
        <v>20</v>
      </c>
      <c r="L14" s="7">
        <v>8159.45</v>
      </c>
      <c r="N14" s="8" t="s">
        <v>19</v>
      </c>
      <c r="O14" s="7"/>
      <c r="Q14" s="6" t="s">
        <v>18</v>
      </c>
      <c r="R14" s="7"/>
    </row>
    <row r="15" spans="2:19" ht="17" thickBot="1">
      <c r="B15" s="8" t="s">
        <v>19</v>
      </c>
      <c r="C15" s="7"/>
      <c r="E15" s="8" t="s">
        <v>19</v>
      </c>
      <c r="F15" s="7"/>
      <c r="H15" s="8" t="s">
        <v>19</v>
      </c>
      <c r="I15" s="7"/>
      <c r="K15" s="8" t="s">
        <v>21</v>
      </c>
      <c r="L15" s="7">
        <v>2207.75</v>
      </c>
      <c r="N15" s="8" t="s">
        <v>20</v>
      </c>
      <c r="O15" s="7">
        <v>5974.96</v>
      </c>
      <c r="Q15" s="8" t="s">
        <v>19</v>
      </c>
      <c r="R15" s="7"/>
    </row>
    <row r="16" spans="2:19" ht="17" thickBot="1">
      <c r="B16" s="8" t="s">
        <v>20</v>
      </c>
      <c r="C16" s="7">
        <f>[1]Sheet2!C23</f>
        <v>0</v>
      </c>
      <c r="E16" s="8" t="s">
        <v>20</v>
      </c>
      <c r="F16" s="7">
        <f>[2]Sheet2!F23</f>
        <v>0</v>
      </c>
      <c r="H16" s="8" t="s">
        <v>20</v>
      </c>
      <c r="I16" s="7">
        <f>[3]Sheet2!I24</f>
        <v>0</v>
      </c>
      <c r="K16" s="6" t="s">
        <v>22</v>
      </c>
      <c r="L16" s="11">
        <f t="shared" ref="L16" si="4">ROUND(SUM(L13:L15),5)</f>
        <v>10367.200000000001</v>
      </c>
      <c r="N16" s="8" t="s">
        <v>21</v>
      </c>
      <c r="O16" s="7">
        <v>558.1</v>
      </c>
      <c r="Q16" s="8" t="s">
        <v>20</v>
      </c>
      <c r="R16" s="7">
        <f>[4]Sheet2!R23</f>
        <v>0</v>
      </c>
    </row>
    <row r="17" spans="2:23" ht="17" thickBot="1">
      <c r="B17" s="8" t="s">
        <v>21</v>
      </c>
      <c r="C17" s="7">
        <v>2713.71</v>
      </c>
      <c r="E17" s="8" t="s">
        <v>21</v>
      </c>
      <c r="F17" s="7">
        <v>840</v>
      </c>
      <c r="H17" s="8" t="s">
        <v>21</v>
      </c>
      <c r="I17" s="7">
        <v>393.7</v>
      </c>
      <c r="K17" s="6" t="s">
        <v>23</v>
      </c>
      <c r="L17" s="12">
        <f t="shared" ref="L17" si="5">ROUND(L12+L16,5)</f>
        <v>10367.200000000001</v>
      </c>
      <c r="N17" s="6" t="s">
        <v>22</v>
      </c>
      <c r="O17" s="11">
        <f t="shared" ref="O17" si="6">ROUND(SUM(O14:O16),5)</f>
        <v>6533.06</v>
      </c>
      <c r="Q17" s="8" t="s">
        <v>21</v>
      </c>
      <c r="R17" s="7">
        <v>19981.810000000001</v>
      </c>
    </row>
    <row r="18" spans="2:23" ht="17" thickBot="1">
      <c r="B18" s="6" t="s">
        <v>22</v>
      </c>
      <c r="C18" s="11">
        <f t="shared" ref="C18" si="7">ROUND(SUM(C15:C17),5)</f>
        <v>2713.71</v>
      </c>
      <c r="E18" s="6" t="s">
        <v>22</v>
      </c>
      <c r="F18" s="11">
        <f t="shared" ref="F18" si="8">ROUND(SUM(F15:F17),5)</f>
        <v>840</v>
      </c>
      <c r="H18" s="9" t="s">
        <v>22</v>
      </c>
      <c r="I18" s="11">
        <f t="shared" ref="I18" si="9">ROUND(SUM(I15:I17),5)</f>
        <v>393.7</v>
      </c>
      <c r="K18" s="6" t="s">
        <v>24</v>
      </c>
      <c r="L18" s="11">
        <f t="shared" ref="L18" si="10">ROUND(L11-L17,5)</f>
        <v>3836.8</v>
      </c>
      <c r="N18" s="6" t="s">
        <v>23</v>
      </c>
      <c r="O18" s="12">
        <f t="shared" ref="O18" si="11">ROUND(O13+O17,5)</f>
        <v>6533.06</v>
      </c>
      <c r="Q18" s="6" t="s">
        <v>22</v>
      </c>
      <c r="R18" s="11">
        <f t="shared" ref="R18" si="12">ROUND(SUM(R15:R17),5)</f>
        <v>19981.810000000001</v>
      </c>
      <c r="W18" t="s">
        <v>59</v>
      </c>
    </row>
    <row r="19" spans="2:23" ht="17" thickBot="1">
      <c r="B19" s="6" t="s">
        <v>23</v>
      </c>
      <c r="C19" s="12">
        <f t="shared" ref="C19" si="13">ROUND(C14+C18,5)</f>
        <v>2713.71</v>
      </c>
      <c r="E19" s="6" t="s">
        <v>23</v>
      </c>
      <c r="F19" s="12">
        <f t="shared" ref="F19" si="14">ROUND(F14+F18,5)</f>
        <v>840</v>
      </c>
      <c r="H19" s="6" t="s">
        <v>23</v>
      </c>
      <c r="I19" s="12">
        <f t="shared" ref="I19" si="15">ROUND(I14+I18,5)</f>
        <v>393.7</v>
      </c>
      <c r="K19" s="6" t="s">
        <v>25</v>
      </c>
      <c r="L19" s="13"/>
      <c r="N19" s="6" t="s">
        <v>24</v>
      </c>
      <c r="O19" s="11">
        <f t="shared" ref="O19" si="16">ROUND(O12-O18,5)</f>
        <v>117221.27</v>
      </c>
      <c r="Q19" s="6" t="s">
        <v>23</v>
      </c>
      <c r="R19" s="12">
        <f t="shared" ref="R19" si="17">ROUND(R14+R18,5)</f>
        <v>19981.810000000001</v>
      </c>
    </row>
    <row r="20" spans="2:23">
      <c r="B20" s="6" t="s">
        <v>24</v>
      </c>
      <c r="C20" s="11">
        <f t="shared" ref="C20" si="18">ROUND(C13-C19,5)</f>
        <v>76316.31</v>
      </c>
      <c r="E20" s="6" t="s">
        <v>24</v>
      </c>
      <c r="F20" s="11">
        <f t="shared" ref="F20" si="19">ROUND(F13-F19,5)</f>
        <v>155230.20000000001</v>
      </c>
      <c r="H20" s="6" t="s">
        <v>24</v>
      </c>
      <c r="I20" s="11">
        <f t="shared" ref="I20" si="20">ROUND(I13-I19,5)</f>
        <v>102403.3</v>
      </c>
      <c r="K20" s="6" t="s">
        <v>26</v>
      </c>
      <c r="L20" s="14">
        <f>L14/L8</f>
        <v>1.5446190250828207</v>
      </c>
      <c r="N20" s="6" t="s">
        <v>25</v>
      </c>
      <c r="O20" s="13"/>
      <c r="Q20" s="6" t="s">
        <v>24</v>
      </c>
      <c r="R20" s="11">
        <f t="shared" ref="R20" si="21">ROUND(R13-R19,5)</f>
        <v>155653.76999999999</v>
      </c>
    </row>
    <row r="21" spans="2:23">
      <c r="B21" s="6" t="s">
        <v>25</v>
      </c>
      <c r="C21" s="13"/>
      <c r="E21" s="6" t="s">
        <v>25</v>
      </c>
      <c r="F21" s="13"/>
      <c r="H21" s="6" t="s">
        <v>25</v>
      </c>
      <c r="I21" s="13"/>
      <c r="K21" s="6" t="s">
        <v>27</v>
      </c>
      <c r="L21" s="14">
        <f>L15/L9</f>
        <v>0.80530731351449936</v>
      </c>
      <c r="N21" s="6" t="s">
        <v>26</v>
      </c>
      <c r="O21" s="14">
        <f>O15/O8</f>
        <v>7.4101018409048536E-2</v>
      </c>
      <c r="Q21" s="6" t="s">
        <v>25</v>
      </c>
      <c r="R21" s="13"/>
    </row>
    <row r="22" spans="2:23">
      <c r="B22" s="6" t="s">
        <v>26</v>
      </c>
      <c r="C22" s="14">
        <f>C16/C9</f>
        <v>0</v>
      </c>
      <c r="E22" s="6" t="s">
        <v>26</v>
      </c>
      <c r="F22" s="14">
        <f>F16/F9</f>
        <v>0</v>
      </c>
      <c r="H22" s="6" t="s">
        <v>26</v>
      </c>
      <c r="I22" s="14">
        <f>I16/I9</f>
        <v>0</v>
      </c>
      <c r="K22" s="6" t="s">
        <v>28</v>
      </c>
      <c r="L22" s="13"/>
      <c r="N22" s="6" t="s">
        <v>27</v>
      </c>
      <c r="O22" s="14">
        <f>O16/O10</f>
        <v>2.4809957768392978E-2</v>
      </c>
      <c r="Q22" s="6" t="s">
        <v>26</v>
      </c>
      <c r="R22" s="14">
        <f>R16/R9</f>
        <v>0</v>
      </c>
    </row>
    <row r="23" spans="2:23">
      <c r="B23" s="6" t="s">
        <v>27</v>
      </c>
      <c r="C23" s="14">
        <f>C17/C11</f>
        <v>0.19917108378556508</v>
      </c>
      <c r="E23" s="6" t="s">
        <v>27</v>
      </c>
      <c r="F23" s="14">
        <f>F17/F11</f>
        <v>0.85192697768762682</v>
      </c>
      <c r="H23" s="6" t="s">
        <v>27</v>
      </c>
      <c r="I23" s="14">
        <f>I17/I11</f>
        <v>0.27151724137931033</v>
      </c>
      <c r="K23" s="8" t="s">
        <v>29</v>
      </c>
      <c r="L23" s="7"/>
      <c r="N23" s="6" t="s">
        <v>28</v>
      </c>
      <c r="O23" s="13"/>
      <c r="Q23" s="6" t="s">
        <v>27</v>
      </c>
      <c r="R23" s="14">
        <f>R17/R11</f>
        <v>1.0442228560618492</v>
      </c>
    </row>
    <row r="24" spans="2:23">
      <c r="B24" s="6" t="s">
        <v>28</v>
      </c>
      <c r="C24" s="13"/>
      <c r="E24" s="6" t="s">
        <v>28</v>
      </c>
      <c r="F24" s="13"/>
      <c r="H24" s="6" t="s">
        <v>28</v>
      </c>
      <c r="I24" s="13"/>
      <c r="K24" s="8" t="s">
        <v>30</v>
      </c>
      <c r="L24" s="7">
        <v>807.63</v>
      </c>
      <c r="N24" s="8" t="s">
        <v>29</v>
      </c>
      <c r="O24" s="7"/>
      <c r="Q24" s="6" t="s">
        <v>28</v>
      </c>
      <c r="R24" s="13"/>
    </row>
    <row r="25" spans="2:23" ht="17" thickBot="1">
      <c r="B25" s="8" t="s">
        <v>29</v>
      </c>
      <c r="C25" s="7"/>
      <c r="E25" s="8" t="s">
        <v>29</v>
      </c>
      <c r="F25" s="7"/>
      <c r="H25" s="8" t="s">
        <v>29</v>
      </c>
      <c r="I25" s="7"/>
      <c r="K25" s="8" t="s">
        <v>31</v>
      </c>
      <c r="L25" s="15">
        <v>0</v>
      </c>
      <c r="N25" s="8" t="s">
        <v>32</v>
      </c>
      <c r="O25" s="7">
        <v>20000</v>
      </c>
      <c r="Q25" s="8" t="s">
        <v>29</v>
      </c>
      <c r="R25" s="7"/>
    </row>
    <row r="26" spans="2:23">
      <c r="B26" s="8" t="s">
        <v>32</v>
      </c>
      <c r="C26" s="7">
        <v>20000</v>
      </c>
      <c r="E26" s="8" t="s">
        <v>32</v>
      </c>
      <c r="F26" s="7">
        <v>20000</v>
      </c>
      <c r="H26" s="8" t="s">
        <v>32</v>
      </c>
      <c r="I26" s="7">
        <v>20000</v>
      </c>
      <c r="K26" s="8" t="s">
        <v>33</v>
      </c>
      <c r="L26" s="7">
        <f>ROUND(SUM(L23:L25),5)</f>
        <v>807.63</v>
      </c>
      <c r="N26" s="8" t="s">
        <v>30</v>
      </c>
      <c r="O26" s="7">
        <v>981.74</v>
      </c>
      <c r="Q26" s="8" t="s">
        <v>32</v>
      </c>
      <c r="R26" s="7">
        <v>20000</v>
      </c>
    </row>
    <row r="27" spans="2:23" ht="17" thickBot="1">
      <c r="B27" s="8" t="s">
        <v>30</v>
      </c>
      <c r="C27" s="7">
        <f>[1]Sheet2!E23</f>
        <v>0</v>
      </c>
      <c r="E27" s="8" t="s">
        <v>30</v>
      </c>
      <c r="F27" s="7">
        <f>[2]Sheet2!H23</f>
        <v>0</v>
      </c>
      <c r="H27" s="8" t="s">
        <v>30</v>
      </c>
      <c r="I27" s="7">
        <f>[3]Sheet2!K24</f>
        <v>0</v>
      </c>
      <c r="K27" s="8" t="s">
        <v>34</v>
      </c>
      <c r="L27" s="16"/>
      <c r="N27" s="8" t="s">
        <v>31</v>
      </c>
      <c r="O27" s="15">
        <v>0</v>
      </c>
      <c r="Q27" s="8" t="s">
        <v>30</v>
      </c>
      <c r="R27" s="7">
        <f>[4]Sheet2!T23</f>
        <v>0</v>
      </c>
    </row>
    <row r="28" spans="2:23" ht="17" thickBot="1">
      <c r="B28" s="8" t="s">
        <v>31</v>
      </c>
      <c r="C28" s="15">
        <v>0</v>
      </c>
      <c r="E28" s="8" t="s">
        <v>31</v>
      </c>
      <c r="F28" s="15">
        <v>0</v>
      </c>
      <c r="H28" s="8" t="s">
        <v>31</v>
      </c>
      <c r="I28" s="7">
        <v>0</v>
      </c>
      <c r="K28" s="8" t="s">
        <v>35</v>
      </c>
      <c r="L28" s="7"/>
      <c r="N28" s="8" t="s">
        <v>33</v>
      </c>
      <c r="O28" s="7">
        <f t="shared" ref="O28" si="22">ROUND(SUM(O24:O27),5)</f>
        <v>20981.74</v>
      </c>
      <c r="Q28" s="8" t="s">
        <v>31</v>
      </c>
      <c r="R28" s="15">
        <v>0</v>
      </c>
    </row>
    <row r="29" spans="2:23" ht="17" thickBot="1">
      <c r="B29" s="8" t="s">
        <v>33</v>
      </c>
      <c r="C29" s="7">
        <f t="shared" ref="C29" si="23">ROUND(SUM(C25:C28),5)</f>
        <v>20000</v>
      </c>
      <c r="E29" s="8" t="s">
        <v>33</v>
      </c>
      <c r="F29" s="7">
        <f t="shared" ref="F29" si="24">ROUND(SUM(F25:F28),5)</f>
        <v>20000</v>
      </c>
      <c r="H29" s="17" t="s">
        <v>33</v>
      </c>
      <c r="I29" s="10">
        <f t="shared" ref="I29" si="25">ROUND(SUM(I25:I28),5)</f>
        <v>20000</v>
      </c>
      <c r="K29" s="8" t="s">
        <v>36</v>
      </c>
      <c r="L29" s="15"/>
      <c r="N29" s="8" t="s">
        <v>34</v>
      </c>
      <c r="O29" s="16"/>
      <c r="Q29" s="8" t="s">
        <v>33</v>
      </c>
      <c r="R29" s="7">
        <f t="shared" ref="R29" si="26">ROUND(SUM(R25:R28),5)</f>
        <v>20000</v>
      </c>
    </row>
    <row r="30" spans="2:23">
      <c r="B30" s="8" t="s">
        <v>34</v>
      </c>
      <c r="C30" s="16"/>
      <c r="E30" s="8" t="s">
        <v>34</v>
      </c>
      <c r="F30" s="16"/>
      <c r="H30" s="8" t="s">
        <v>34</v>
      </c>
      <c r="I30" s="16"/>
      <c r="K30" s="8" t="s">
        <v>37</v>
      </c>
      <c r="L30" s="7">
        <f t="shared" ref="L30" si="27">ROUND(SUM(L27:L29),5)</f>
        <v>0</v>
      </c>
      <c r="N30" s="8" t="s">
        <v>35</v>
      </c>
      <c r="O30" s="7"/>
      <c r="Q30" s="8" t="s">
        <v>34</v>
      </c>
      <c r="R30" s="16"/>
    </row>
    <row r="31" spans="2:23" ht="17" thickBot="1">
      <c r="B31" s="8" t="s">
        <v>35</v>
      </c>
      <c r="C31" s="7"/>
      <c r="E31" s="8" t="s">
        <v>35</v>
      </c>
      <c r="F31" s="7"/>
      <c r="H31" s="8" t="s">
        <v>35</v>
      </c>
      <c r="I31" s="7"/>
      <c r="K31" s="8" t="s">
        <v>38</v>
      </c>
      <c r="L31" s="7"/>
      <c r="N31" s="8" t="s">
        <v>36</v>
      </c>
      <c r="O31" s="15"/>
      <c r="Q31" s="8" t="s">
        <v>35</v>
      </c>
      <c r="R31" s="7"/>
    </row>
    <row r="32" spans="2:23" ht="17" thickBot="1">
      <c r="B32" s="8" t="s">
        <v>36</v>
      </c>
      <c r="C32" s="15"/>
      <c r="E32" s="8" t="s">
        <v>36</v>
      </c>
      <c r="F32" s="15"/>
      <c r="H32" s="8" t="s">
        <v>36</v>
      </c>
      <c r="I32" s="15"/>
      <c r="K32" s="8" t="s">
        <v>39</v>
      </c>
      <c r="L32" s="7">
        <v>2680</v>
      </c>
      <c r="N32" s="8" t="s">
        <v>37</v>
      </c>
      <c r="O32" s="7">
        <f t="shared" ref="O32" si="28">ROUND(SUM(O29:O31),5)</f>
        <v>0</v>
      </c>
      <c r="Q32" s="8" t="s">
        <v>36</v>
      </c>
      <c r="R32" s="15"/>
    </row>
    <row r="33" spans="2:18">
      <c r="B33" s="8" t="s">
        <v>37</v>
      </c>
      <c r="C33" s="7">
        <f t="shared" ref="C33" si="29">ROUND(SUM(C30:C32),5)</f>
        <v>0</v>
      </c>
      <c r="E33" s="8" t="s">
        <v>37</v>
      </c>
      <c r="F33" s="7">
        <f t="shared" ref="F33" si="30">ROUND(SUM(F30:F32),5)</f>
        <v>0</v>
      </c>
      <c r="H33" s="8" t="s">
        <v>37</v>
      </c>
      <c r="I33" s="7">
        <f t="shared" ref="I33" si="31">ROUND(SUM(I30:I32),5)</f>
        <v>0</v>
      </c>
      <c r="K33" s="8" t="s">
        <v>40</v>
      </c>
      <c r="L33" s="7">
        <v>6380</v>
      </c>
      <c r="N33" s="8" t="s">
        <v>38</v>
      </c>
      <c r="O33" s="7"/>
      <c r="Q33" s="8" t="s">
        <v>37</v>
      </c>
      <c r="R33" s="7">
        <f t="shared" ref="R33" si="32">ROUND(SUM(R30:R32),5)</f>
        <v>0</v>
      </c>
    </row>
    <row r="34" spans="2:18">
      <c r="B34" s="8" t="s">
        <v>38</v>
      </c>
      <c r="C34" s="7"/>
      <c r="E34" s="8" t="s">
        <v>38</v>
      </c>
      <c r="F34" s="7"/>
      <c r="H34" s="8" t="s">
        <v>38</v>
      </c>
      <c r="I34" s="7"/>
      <c r="K34" s="8" t="s">
        <v>41</v>
      </c>
      <c r="L34" s="7">
        <v>350</v>
      </c>
      <c r="N34" s="8" t="s">
        <v>39</v>
      </c>
      <c r="O34" s="7">
        <v>2730</v>
      </c>
      <c r="Q34" s="8" t="s">
        <v>38</v>
      </c>
      <c r="R34" s="7"/>
    </row>
    <row r="35" spans="2:18">
      <c r="B35" s="8" t="s">
        <v>39</v>
      </c>
      <c r="C35" s="7">
        <f>[1]Sheet2!G23</f>
        <v>0</v>
      </c>
      <c r="E35" s="8" t="s">
        <v>39</v>
      </c>
      <c r="F35" s="7">
        <f>[2]Sheet2!J23</f>
        <v>0</v>
      </c>
      <c r="H35" s="8" t="s">
        <v>39</v>
      </c>
      <c r="I35" s="7">
        <f>[3]Sheet2!M24</f>
        <v>0</v>
      </c>
      <c r="K35" s="8" t="s">
        <v>42</v>
      </c>
      <c r="L35" s="7">
        <v>665</v>
      </c>
      <c r="N35" s="8" t="s">
        <v>40</v>
      </c>
      <c r="O35" s="7">
        <v>4500</v>
      </c>
      <c r="Q35" s="8" t="s">
        <v>39</v>
      </c>
      <c r="R35" s="7">
        <f>[4]Sheet2!V23</f>
        <v>0</v>
      </c>
    </row>
    <row r="36" spans="2:18" ht="17" thickBot="1">
      <c r="B36" s="8" t="s">
        <v>43</v>
      </c>
      <c r="C36" s="7">
        <v>572.5</v>
      </c>
      <c r="E36" s="8" t="s">
        <v>43</v>
      </c>
      <c r="F36" s="7">
        <v>572.5</v>
      </c>
      <c r="H36" s="8" t="s">
        <v>43</v>
      </c>
      <c r="I36" s="7">
        <v>572.5</v>
      </c>
      <c r="K36" s="8" t="s">
        <v>44</v>
      </c>
      <c r="L36" s="15">
        <v>2625</v>
      </c>
      <c r="N36" s="8" t="s">
        <v>41</v>
      </c>
      <c r="O36" s="7">
        <v>0</v>
      </c>
      <c r="Q36" s="8" t="s">
        <v>40</v>
      </c>
      <c r="R36" s="7">
        <f>[4]Sheet2!W23</f>
        <v>0</v>
      </c>
    </row>
    <row r="37" spans="2:18">
      <c r="B37" s="8" t="s">
        <v>40</v>
      </c>
      <c r="C37" s="7">
        <f>[1]Sheet2!H23</f>
        <v>0</v>
      </c>
      <c r="E37" s="8" t="s">
        <v>40</v>
      </c>
      <c r="F37" s="7">
        <f>[2]Sheet2!K23</f>
        <v>0</v>
      </c>
      <c r="H37" s="8" t="s">
        <v>40</v>
      </c>
      <c r="I37" s="7">
        <f>[3]Sheet2!N24</f>
        <v>0</v>
      </c>
      <c r="K37" s="8" t="s">
        <v>45</v>
      </c>
      <c r="L37" s="7">
        <f t="shared" ref="L37" si="33">ROUND(SUM(L31:L36),5)</f>
        <v>12700</v>
      </c>
      <c r="N37" s="8" t="s">
        <v>42</v>
      </c>
      <c r="O37" s="7">
        <v>6218.57</v>
      </c>
      <c r="Q37" s="8" t="s">
        <v>41</v>
      </c>
      <c r="R37" s="7">
        <v>0</v>
      </c>
    </row>
    <row r="38" spans="2:18">
      <c r="B38" s="8" t="s">
        <v>41</v>
      </c>
      <c r="C38" s="7">
        <v>0</v>
      </c>
      <c r="E38" s="8" t="s">
        <v>41</v>
      </c>
      <c r="F38" s="7">
        <v>0</v>
      </c>
      <c r="H38" s="8" t="s">
        <v>41</v>
      </c>
      <c r="I38" s="7">
        <v>0</v>
      </c>
      <c r="K38" s="8" t="s">
        <v>46</v>
      </c>
      <c r="L38" s="7"/>
      <c r="N38" s="8" t="s">
        <v>47</v>
      </c>
      <c r="O38" s="7">
        <v>3200</v>
      </c>
      <c r="Q38" s="8" t="s">
        <v>42</v>
      </c>
      <c r="R38" s="7">
        <f>[4]Sheet2!Y23</f>
        <v>0</v>
      </c>
    </row>
    <row r="39" spans="2:18" ht="17" thickBot="1">
      <c r="B39" s="8" t="s">
        <v>42</v>
      </c>
      <c r="C39" s="7">
        <f>[1]Sheet2!J23</f>
        <v>0</v>
      </c>
      <c r="E39" s="8" t="s">
        <v>42</v>
      </c>
      <c r="F39" s="7">
        <f>[2]Sheet2!M23</f>
        <v>0</v>
      </c>
      <c r="H39" s="8" t="s">
        <v>42</v>
      </c>
      <c r="I39" s="7">
        <f>[3]Sheet2!P24</f>
        <v>0</v>
      </c>
      <c r="K39" s="8" t="s">
        <v>48</v>
      </c>
      <c r="L39" s="7">
        <v>41968</v>
      </c>
      <c r="N39" s="8" t="s">
        <v>44</v>
      </c>
      <c r="O39" s="15">
        <v>2100</v>
      </c>
      <c r="Q39" s="8" t="s">
        <v>47</v>
      </c>
      <c r="R39" s="7">
        <v>0</v>
      </c>
    </row>
    <row r="40" spans="2:18" ht="17" thickBot="1">
      <c r="B40" s="8" t="s">
        <v>47</v>
      </c>
      <c r="C40" s="7">
        <f>[1]Sheet2!I23</f>
        <v>0</v>
      </c>
      <c r="E40" s="8" t="s">
        <v>47</v>
      </c>
      <c r="F40" s="7">
        <f>[2]Sheet2!L23</f>
        <v>0</v>
      </c>
      <c r="H40" s="8" t="s">
        <v>47</v>
      </c>
      <c r="I40" s="7">
        <f>[3]Sheet2!O24</f>
        <v>0</v>
      </c>
      <c r="K40" s="8" t="s">
        <v>49</v>
      </c>
      <c r="L40" s="7">
        <v>833.33</v>
      </c>
      <c r="N40" s="8" t="s">
        <v>45</v>
      </c>
      <c r="O40" s="15">
        <f t="shared" ref="O40" si="34">ROUND(SUM(O33:O39),5)</f>
        <v>18748.57</v>
      </c>
      <c r="Q40" s="8" t="s">
        <v>44</v>
      </c>
      <c r="R40" s="15">
        <v>2100</v>
      </c>
    </row>
    <row r="41" spans="2:18" ht="17" thickBot="1">
      <c r="B41" s="8" t="s">
        <v>44</v>
      </c>
      <c r="C41" s="15">
        <v>1650</v>
      </c>
      <c r="E41" s="8" t="s">
        <v>44</v>
      </c>
      <c r="F41" s="15">
        <v>1650</v>
      </c>
      <c r="H41" s="8" t="s">
        <v>44</v>
      </c>
      <c r="I41" s="15">
        <v>1650</v>
      </c>
      <c r="K41" s="8" t="s">
        <v>50</v>
      </c>
      <c r="L41" s="7">
        <v>1438.2</v>
      </c>
      <c r="N41" s="8" t="s">
        <v>46</v>
      </c>
      <c r="O41" s="7"/>
      <c r="Q41" s="8" t="s">
        <v>45</v>
      </c>
      <c r="R41" s="15">
        <f t="shared" ref="R41" si="35">ROUND(SUM(R34:R40),5)</f>
        <v>2100</v>
      </c>
    </row>
    <row r="42" spans="2:18" ht="17" thickBot="1">
      <c r="B42" s="8" t="s">
        <v>45</v>
      </c>
      <c r="C42" s="15">
        <f t="shared" ref="C42" si="36">ROUND(SUM(C34:C41),5)</f>
        <v>2222.5</v>
      </c>
      <c r="E42" s="8" t="s">
        <v>45</v>
      </c>
      <c r="F42" s="15">
        <f t="shared" ref="F42" si="37">ROUND(SUM(F34:F41),5)</f>
        <v>2222.5</v>
      </c>
      <c r="H42" s="8" t="s">
        <v>45</v>
      </c>
      <c r="I42" s="15">
        <f t="shared" ref="I42" si="38">ROUND(SUM(I34:I41),5)</f>
        <v>2222.5</v>
      </c>
      <c r="K42" s="8" t="s">
        <v>51</v>
      </c>
      <c r="L42" s="7">
        <v>0</v>
      </c>
      <c r="N42" s="8" t="s">
        <v>48</v>
      </c>
      <c r="O42" s="7">
        <v>47000</v>
      </c>
      <c r="Q42" s="8" t="s">
        <v>46</v>
      </c>
      <c r="R42" s="7"/>
    </row>
    <row r="43" spans="2:18" ht="17" thickBot="1">
      <c r="B43" s="8" t="s">
        <v>46</v>
      </c>
      <c r="C43" s="7"/>
      <c r="E43" s="8" t="s">
        <v>46</v>
      </c>
      <c r="F43" s="7"/>
      <c r="H43" s="8" t="s">
        <v>46</v>
      </c>
      <c r="I43" s="7"/>
      <c r="K43" s="8" t="s">
        <v>52</v>
      </c>
      <c r="L43" s="7">
        <f>1455+1080</f>
        <v>2535</v>
      </c>
      <c r="N43" s="8" t="s">
        <v>49</v>
      </c>
      <c r="O43" s="7">
        <v>833.33</v>
      </c>
      <c r="Q43" s="8" t="s">
        <v>48</v>
      </c>
      <c r="R43" s="7">
        <v>45903.23</v>
      </c>
    </row>
    <row r="44" spans="2:18" ht="17" thickBot="1">
      <c r="B44" s="8" t="s">
        <v>48</v>
      </c>
      <c r="C44" s="7">
        <v>39774.19</v>
      </c>
      <c r="E44" s="8" t="s">
        <v>48</v>
      </c>
      <c r="F44" s="7">
        <v>34586.21</v>
      </c>
      <c r="H44" s="8" t="s">
        <v>48</v>
      </c>
      <c r="I44" s="7">
        <v>34500</v>
      </c>
      <c r="K44" s="8" t="s">
        <v>53</v>
      </c>
      <c r="L44" s="18">
        <f t="shared" ref="L44" si="39">ROUND(SUM(L38:L43),5)</f>
        <v>46774.53</v>
      </c>
      <c r="N44" s="8" t="s">
        <v>50</v>
      </c>
      <c r="O44" s="7">
        <v>791.21</v>
      </c>
      <c r="Q44" s="8" t="s">
        <v>49</v>
      </c>
      <c r="R44" s="7">
        <v>833.33</v>
      </c>
    </row>
    <row r="45" spans="2:18" ht="17" thickBot="1">
      <c r="B45" s="8" t="s">
        <v>49</v>
      </c>
      <c r="C45" s="7">
        <v>833.33</v>
      </c>
      <c r="E45" s="8" t="s">
        <v>49</v>
      </c>
      <c r="F45" s="7">
        <v>833.33</v>
      </c>
      <c r="H45" s="8" t="s">
        <v>49</v>
      </c>
      <c r="I45" s="7">
        <v>833.33</v>
      </c>
      <c r="K45" s="6" t="s">
        <v>54</v>
      </c>
      <c r="L45" s="11">
        <f>ROUND(L26+L30+L37+L44,5)</f>
        <v>60282.16</v>
      </c>
      <c r="N45" s="8" t="s">
        <v>51</v>
      </c>
      <c r="O45" s="7">
        <v>0</v>
      </c>
      <c r="Q45" s="8" t="s">
        <v>50</v>
      </c>
      <c r="R45" s="7">
        <f>[4]Sheet2!U23</f>
        <v>0</v>
      </c>
    </row>
    <row r="46" spans="2:18" ht="17" thickBot="1">
      <c r="B46" s="8" t="s">
        <v>50</v>
      </c>
      <c r="C46" s="7">
        <f>[1]Sheet2!F23</f>
        <v>0</v>
      </c>
      <c r="E46" s="8" t="s">
        <v>50</v>
      </c>
      <c r="F46" s="7">
        <f>[2]Sheet2!I23</f>
        <v>0</v>
      </c>
      <c r="H46" s="8" t="s">
        <v>50</v>
      </c>
      <c r="I46" s="7">
        <f>[3]Sheet2!L24</f>
        <v>0</v>
      </c>
      <c r="K46" s="19" t="s">
        <v>55</v>
      </c>
      <c r="L46" s="12">
        <f>ROUND(L18-L45,5)</f>
        <v>-56445.36</v>
      </c>
      <c r="N46" s="8" t="s">
        <v>52</v>
      </c>
      <c r="O46" s="7">
        <v>8250</v>
      </c>
      <c r="Q46" s="8" t="s">
        <v>51</v>
      </c>
      <c r="R46" s="7">
        <v>0</v>
      </c>
    </row>
    <row r="47" spans="2:18" ht="17" thickBot="1">
      <c r="B47" s="8" t="s">
        <v>51</v>
      </c>
      <c r="C47" s="7">
        <v>0</v>
      </c>
      <c r="E47" s="8" t="s">
        <v>51</v>
      </c>
      <c r="F47" s="7">
        <v>0</v>
      </c>
      <c r="H47" s="8" t="s">
        <v>51</v>
      </c>
      <c r="I47" s="7">
        <v>0</v>
      </c>
      <c r="K47" s="20"/>
      <c r="L47" s="16"/>
      <c r="N47" s="8" t="s">
        <v>53</v>
      </c>
      <c r="O47" s="18">
        <f>ROUND(SUM(O41:O46),5)</f>
        <v>56874.54</v>
      </c>
      <c r="Q47" s="8" t="s">
        <v>52</v>
      </c>
      <c r="R47" s="7">
        <v>8870.9699999999993</v>
      </c>
    </row>
    <row r="48" spans="2:18" ht="17" thickBot="1">
      <c r="B48" s="8" t="s">
        <v>52</v>
      </c>
      <c r="C48" s="7">
        <v>8000</v>
      </c>
      <c r="E48" s="8" t="s">
        <v>52</v>
      </c>
      <c r="F48" s="7">
        <v>5603.45</v>
      </c>
      <c r="H48" s="8" t="s">
        <v>52</v>
      </c>
      <c r="I48" s="7"/>
      <c r="K48" s="8" t="s">
        <v>32</v>
      </c>
      <c r="L48" s="7">
        <v>20000</v>
      </c>
      <c r="N48" s="6" t="s">
        <v>54</v>
      </c>
      <c r="O48" s="11">
        <f>ROUND(O28+O32+O40+O47,5)</f>
        <v>96604.85</v>
      </c>
      <c r="Q48" s="8" t="s">
        <v>53</v>
      </c>
      <c r="R48" s="18">
        <f>ROUND(SUM(R42:R47),5)</f>
        <v>55607.53</v>
      </c>
    </row>
    <row r="49" spans="2:20" ht="17" thickBot="1">
      <c r="B49" s="8" t="s">
        <v>53</v>
      </c>
      <c r="C49" s="18">
        <f>ROUND(SUM(C43:C48),5)</f>
        <v>48607.519999999997</v>
      </c>
      <c r="E49" s="8" t="s">
        <v>53</v>
      </c>
      <c r="F49" s="18">
        <f>ROUND(SUM(F43:F48),5)</f>
        <v>41022.99</v>
      </c>
      <c r="H49" s="8" t="s">
        <v>53</v>
      </c>
      <c r="I49" s="18">
        <f>ROUND(SUM(I43:I48),5)</f>
        <v>35333.33</v>
      </c>
      <c r="K49" s="8" t="s">
        <v>56</v>
      </c>
      <c r="L49" s="10"/>
      <c r="N49" s="19" t="s">
        <v>55</v>
      </c>
      <c r="O49" s="12">
        <f>ROUND(O19-O48,5)</f>
        <v>20616.419999999998</v>
      </c>
      <c r="Q49" s="6" t="s">
        <v>54</v>
      </c>
      <c r="R49" s="11">
        <f>ROUND(R29+R33+R41+R48,5)</f>
        <v>77707.53</v>
      </c>
    </row>
    <row r="50" spans="2:20" ht="17" thickBot="1">
      <c r="B50" s="6" t="s">
        <v>54</v>
      </c>
      <c r="C50" s="11">
        <f>ROUND(C29+C33+C42+C49,5)</f>
        <v>70830.02</v>
      </c>
      <c r="E50" s="6" t="s">
        <v>54</v>
      </c>
      <c r="F50" s="11">
        <f>ROUND(F29+F33+F42+F49,5)</f>
        <v>63245.49</v>
      </c>
      <c r="H50" s="6" t="s">
        <v>54</v>
      </c>
      <c r="I50" s="11">
        <f>ROUND(I29+I33+I42+I49,5)</f>
        <v>57555.83</v>
      </c>
      <c r="K50" s="20"/>
      <c r="L50" s="7"/>
      <c r="N50" s="20"/>
      <c r="O50" s="16"/>
      <c r="Q50" s="19" t="s">
        <v>55</v>
      </c>
      <c r="R50" s="12">
        <f>ROUND(R20-R49,5)</f>
        <v>77946.240000000005</v>
      </c>
    </row>
    <row r="51" spans="2:20" ht="17" thickBot="1">
      <c r="B51" s="19" t="s">
        <v>55</v>
      </c>
      <c r="C51" s="12">
        <f>ROUND(C20-C50,5)</f>
        <v>5486.29</v>
      </c>
      <c r="E51" s="19" t="s">
        <v>55</v>
      </c>
      <c r="F51" s="12">
        <f>ROUND(F20-F50,5)</f>
        <v>91984.71</v>
      </c>
      <c r="H51" s="21" t="s">
        <v>55</v>
      </c>
      <c r="I51" s="12">
        <f>ROUND(I20-I50,5)</f>
        <v>44847.47</v>
      </c>
      <c r="K51" s="22" t="s">
        <v>57</v>
      </c>
      <c r="L51" s="12">
        <f t="shared" ref="L51" si="40">L46-L49</f>
        <v>-56445.36</v>
      </c>
      <c r="N51" s="8" t="s">
        <v>56</v>
      </c>
      <c r="O51" s="10"/>
      <c r="Q51" s="20"/>
      <c r="R51" s="16"/>
    </row>
    <row r="52" spans="2:20" ht="17" thickBot="1">
      <c r="B52" s="20"/>
      <c r="C52" s="16"/>
      <c r="E52" s="20"/>
      <c r="F52" s="16"/>
      <c r="H52" s="23"/>
      <c r="I52" s="24"/>
      <c r="K52" s="20"/>
      <c r="N52" s="20"/>
      <c r="O52" s="7"/>
      <c r="Q52" s="8" t="s">
        <v>56</v>
      </c>
      <c r="R52" s="10"/>
    </row>
    <row r="53" spans="2:20" ht="17" thickBot="1">
      <c r="B53" s="8" t="s">
        <v>56</v>
      </c>
      <c r="C53" s="10"/>
      <c r="E53" s="8" t="s">
        <v>56</v>
      </c>
      <c r="F53" s="10"/>
      <c r="H53" s="25" t="s">
        <v>56</v>
      </c>
      <c r="I53" s="26"/>
      <c r="N53" s="22" t="s">
        <v>57</v>
      </c>
      <c r="O53" s="12">
        <f t="shared" ref="O53" si="41">O49-O51</f>
        <v>20616.419999999998</v>
      </c>
      <c r="Q53" s="20"/>
      <c r="R53" s="7"/>
    </row>
    <row r="54" spans="2:20" ht="17" thickBot="1">
      <c r="B54" s="20"/>
      <c r="C54" s="7"/>
      <c r="E54" s="20"/>
      <c r="F54" s="7"/>
      <c r="H54" s="23"/>
      <c r="I54" s="27"/>
      <c r="N54" s="20"/>
      <c r="Q54" s="22" t="s">
        <v>57</v>
      </c>
      <c r="R54" s="12">
        <f t="shared" ref="R54" si="42">R50-R52</f>
        <v>77946.240000000005</v>
      </c>
    </row>
    <row r="55" spans="2:20" ht="17" thickBot="1">
      <c r="B55" s="22" t="s">
        <v>57</v>
      </c>
      <c r="C55" s="12">
        <f t="shared" ref="C55" si="43">C51-C53</f>
        <v>5486.29</v>
      </c>
      <c r="E55" s="22" t="s">
        <v>57</v>
      </c>
      <c r="F55" s="12">
        <f t="shared" ref="F55" si="44">F51-F53</f>
        <v>91984.71</v>
      </c>
      <c r="H55" s="28" t="s">
        <v>57</v>
      </c>
      <c r="I55" s="12">
        <f t="shared" ref="I55" si="45">I51-I53</f>
        <v>44847.47</v>
      </c>
    </row>
    <row r="56" spans="2:20">
      <c r="B56" s="20"/>
    </row>
    <row r="57" spans="2:20">
      <c r="D57" s="33">
        <f>D12</f>
        <v>79030.02</v>
      </c>
      <c r="G57" s="33">
        <f>G12</f>
        <v>156070.20000000001</v>
      </c>
      <c r="J57" s="33">
        <f>J12</f>
        <v>102797</v>
      </c>
      <c r="M57" s="33">
        <f>M10</f>
        <v>14204</v>
      </c>
      <c r="P57" s="33">
        <f>P11</f>
        <v>123754.33</v>
      </c>
      <c r="S57" s="33">
        <f>S12</f>
        <v>175635.58</v>
      </c>
      <c r="T57">
        <f>SUM(B57:S57)</f>
        <v>651491.13</v>
      </c>
    </row>
  </sheetData>
  <mergeCells count="5">
    <mergeCell ref="B3:C3"/>
    <mergeCell ref="E3:F3"/>
    <mergeCell ref="K3:L3"/>
    <mergeCell ref="N3:O3"/>
    <mergeCell ref="Q3:R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Vren Heierli</dc:creator>
  <cp:lastModifiedBy>Vren Heierli</cp:lastModifiedBy>
  <dcterms:created xsi:type="dcterms:W3CDTF">2026-06-21T11:14:07Z</dcterms:created>
  <dcterms:modified xsi:type="dcterms:W3CDTF">2026-06-22T04:22:19Z</dcterms:modified>
</cp:coreProperties>
</file>